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janebarthelemy/Downloads/"/>
    </mc:Choice>
  </mc:AlternateContent>
  <xr:revisionPtr revIDLastSave="0" documentId="13_ncr:1_{F572D250-3E4C-9F4F-967D-F52C688A4A52}" xr6:coauthVersionLast="47" xr6:coauthVersionMax="47" xr10:uidLastSave="{00000000-0000-0000-0000-000000000000}"/>
  <bookViews>
    <workbookView xWindow="4900" yWindow="3500" windowWidth="29660" windowHeight="17440" xr2:uid="{56377298-768D-D84B-8609-E94CBEC306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C73" i="1"/>
  <c r="D73" i="1" s="1"/>
  <c r="C82" i="1"/>
  <c r="D82" i="1" s="1"/>
  <c r="C63" i="1"/>
  <c r="C44" i="1"/>
  <c r="D44" i="1" s="1"/>
  <c r="C43" i="1"/>
  <c r="C55" i="1"/>
  <c r="C90" i="1"/>
  <c r="C89" i="1"/>
  <c r="C88" i="1"/>
  <c r="C83" i="1"/>
  <c r="D83" i="1" s="1"/>
  <c r="C81" i="1"/>
  <c r="D81" i="1" s="1"/>
  <c r="C80" i="1"/>
  <c r="D80" i="1" s="1"/>
  <c r="C79" i="1"/>
  <c r="D79" i="1" s="1"/>
  <c r="C78" i="1"/>
  <c r="D78" i="1" s="1"/>
  <c r="C77" i="1"/>
  <c r="D77" i="1" s="1"/>
  <c r="C76" i="1"/>
  <c r="D76" i="1" s="1"/>
  <c r="C75" i="1"/>
  <c r="D75" i="1" s="1"/>
  <c r="C74" i="1"/>
  <c r="D74" i="1" s="1"/>
  <c r="C72" i="1"/>
  <c r="D72" i="1" s="1"/>
  <c r="D66" i="1"/>
  <c r="D62" i="1"/>
  <c r="D61" i="1"/>
  <c r="D54" i="1"/>
  <c r="D53" i="1"/>
  <c r="D51" i="1"/>
  <c r="D50" i="1"/>
  <c r="D49" i="1"/>
  <c r="D48" i="1"/>
  <c r="E18" i="1"/>
  <c r="F18" i="1" s="1"/>
  <c r="E17" i="1"/>
  <c r="F17" i="1" s="1"/>
  <c r="E16" i="1"/>
  <c r="F16" i="1" s="1"/>
  <c r="E15" i="1"/>
  <c r="F15" i="1" s="1"/>
  <c r="E13" i="1"/>
  <c r="F13" i="1" s="1"/>
  <c r="E12" i="1"/>
  <c r="F12" i="1" s="1"/>
  <c r="E8" i="1"/>
  <c r="F8" i="1" s="1"/>
  <c r="E7" i="1"/>
  <c r="F7" i="1" s="1"/>
  <c r="E6" i="1"/>
  <c r="F6" i="1" s="1"/>
  <c r="E5" i="1"/>
  <c r="F5" i="1" s="1"/>
  <c r="C11" i="1"/>
  <c r="E11" i="1" s="1"/>
  <c r="F11" i="1" s="1"/>
  <c r="C10" i="1"/>
  <c r="E10" i="1" s="1"/>
  <c r="G10" i="1" s="1"/>
  <c r="C9" i="1"/>
  <c r="E9" i="1" s="1"/>
  <c r="F9" i="1" s="1"/>
  <c r="G5" i="1" l="1"/>
  <c r="G6" i="1"/>
  <c r="C91" i="1"/>
  <c r="G11" i="1"/>
  <c r="G9" i="1"/>
  <c r="G12" i="1"/>
  <c r="G13" i="1"/>
  <c r="G15" i="1"/>
  <c r="G16" i="1"/>
  <c r="G7" i="1"/>
  <c r="G17" i="1"/>
  <c r="G8" i="1"/>
  <c r="G18" i="1"/>
  <c r="C45" i="1"/>
  <c r="D63" i="1"/>
  <c r="D43" i="1"/>
  <c r="D45" i="1" s="1"/>
  <c r="D55" i="1"/>
  <c r="D84" i="1"/>
  <c r="C84" i="1"/>
  <c r="D88" i="1"/>
  <c r="D91" i="1" s="1"/>
  <c r="E20" i="1"/>
  <c r="F10" i="1"/>
  <c r="F20" i="1" s="1"/>
  <c r="C20" i="1"/>
  <c r="E21" i="1" l="1"/>
  <c r="G20" i="1"/>
  <c r="G21" i="1" s="1"/>
</calcChain>
</file>

<file path=xl/sharedStrings.xml><?xml version="1.0" encoding="utf-8"?>
<sst xmlns="http://schemas.openxmlformats.org/spreadsheetml/2006/main" count="134" uniqueCount="119">
  <si>
    <t>Shangri La Mountain Healing Center of Bhutan</t>
  </si>
  <si>
    <t>Traditional Healing</t>
  </si>
  <si>
    <t xml:space="preserve">High-Tech Healing </t>
  </si>
  <si>
    <t>Restaurant 100 seats</t>
  </si>
  <si>
    <t>Kitchen</t>
  </si>
  <si>
    <t>Offices</t>
  </si>
  <si>
    <t>Parking Lot</t>
  </si>
  <si>
    <t>Manager Residence</t>
  </si>
  <si>
    <t>Sq feet</t>
  </si>
  <si>
    <t>Cost $US</t>
  </si>
  <si>
    <t>Fine dining: 18-20 square feet per guest</t>
  </si>
  <si>
    <t>Counter service: 18-20 square feet per guest</t>
  </si>
  <si>
    <t>Fast food dining: 11-14 square feet per guest</t>
  </si>
  <si>
    <t>School lunchroom/cafeteria: 9-12 square feet per guest</t>
  </si>
  <si>
    <t>Banquet room: 10-11 square feet per guest</t>
  </si>
  <si>
    <t>When calculating square footage of an empty building, a typical restaurant's dining area, bar, restroom and waiting area account for approximately 60% of the total square footage. The remaining 40% is the kitchen, food prep and storage areas. Therefore, the square footage to enter in the calculator should subtract any space where tables &amp; chairs cannot occupy.</t>
  </si>
  <si>
    <t>Be sure to familiarize yourself with your local regulations and building code. You'll need to know what the maximum amount of people you're allowed to have in the restaurant at one time, as well as fire lanes, etc. This resource is not a substitute for any state, local, territorial or tribal laws, rules, codes and regulations with which businesses must comply.</t>
  </si>
  <si>
    <t>Reception &amp; waiting room</t>
  </si>
  <si>
    <t>10 x 15 and 15 x 20</t>
  </si>
  <si>
    <t>4 rooms 10 x 15 + Diagnosis 10 x 15</t>
  </si>
  <si>
    <t>2 rooms 20 x 15 + 10*15</t>
  </si>
  <si>
    <t>Public bathrooms</t>
  </si>
  <si>
    <t>6 rooms 10*10</t>
  </si>
  <si>
    <t>50 * 40</t>
  </si>
  <si>
    <t xml:space="preserve">Homes: $100- 155 average cost per square foot </t>
  </si>
  <si>
    <t>Restaurant: The average cost to open came out to $124 per square foot, or $2,710 per seat.</t>
  </si>
  <si>
    <t>Guest rooms, private bath</t>
  </si>
  <si>
    <t>hotel</t>
  </si>
  <si>
    <t xml:space="preserve">Utility building </t>
  </si>
  <si>
    <t>Meeting, Reception Space</t>
  </si>
  <si>
    <t>in BTN/INR</t>
  </si>
  <si>
    <t xml:space="preserve">Bhutan Construction </t>
  </si>
  <si>
    <t>Cost in $US</t>
  </si>
  <si>
    <t>Cost/sq ft</t>
  </si>
  <si>
    <t>Approx</t>
  </si>
  <si>
    <t xml:space="preserve"> xchange 82.87</t>
  </si>
  <si>
    <t>Cost</t>
  </si>
  <si>
    <t>Generic Shrine</t>
  </si>
  <si>
    <t>Treatment Recovery Rooms</t>
  </si>
  <si>
    <t>Approx Dimensions</t>
  </si>
  <si>
    <t>Average Cost/ Sq Ft</t>
  </si>
  <si>
    <t>30 cars + 3 buses</t>
  </si>
  <si>
    <t>TBD</t>
  </si>
  <si>
    <t>Estimated Square Footage and Construction Costs</t>
  </si>
  <si>
    <t>Total Estimated Building Costs</t>
  </si>
  <si>
    <t>Staff and Employee Costs</t>
  </si>
  <si>
    <t>Restaurant</t>
  </si>
  <si>
    <t>Equipment Costs</t>
  </si>
  <si>
    <t xml:space="preserve">   Legal Permissions</t>
  </si>
  <si>
    <t xml:space="preserve">   Contractor</t>
  </si>
  <si>
    <t xml:space="preserve">   General Manager</t>
  </si>
  <si>
    <t xml:space="preserve">   Laborers</t>
  </si>
  <si>
    <t>MedBeds</t>
  </si>
  <si>
    <t xml:space="preserve">2 Vehicles SUV </t>
  </si>
  <si>
    <t>Small Vehicle</t>
  </si>
  <si>
    <t>Phase 1. Professional Fees, Project Design, Layout, Legal Permissions, Board</t>
  </si>
  <si>
    <t>Land costs</t>
  </si>
  <si>
    <t>BTN  1.9 - 1.13 million</t>
  </si>
  <si>
    <t xml:space="preserve">700,000 BTN </t>
  </si>
  <si>
    <t>Healing equipment 4 rooms</t>
  </si>
  <si>
    <t xml:space="preserve">18 months  120 million BTN </t>
  </si>
  <si>
    <t>included</t>
  </si>
  <si>
    <t>135,000/month</t>
  </si>
  <si>
    <t xml:space="preserve">    2 Nurses</t>
  </si>
  <si>
    <t>25,000 per month x 4</t>
  </si>
  <si>
    <t>15,000 per month x 2</t>
  </si>
  <si>
    <t>17,000 per month x 3</t>
  </si>
  <si>
    <t xml:space="preserve">    2 Kitchen Staff</t>
  </si>
  <si>
    <t>20,000 pre month x 2</t>
  </si>
  <si>
    <t>30,000/mo</t>
  </si>
  <si>
    <t>55,000/mo</t>
  </si>
  <si>
    <t>Annual Utility Costs</t>
  </si>
  <si>
    <t>25,000 per month x 2</t>
  </si>
  <si>
    <t xml:space="preserve">    Water</t>
  </si>
  <si>
    <t xml:space="preserve">    Gas</t>
  </si>
  <si>
    <t xml:space="preserve">    Electricity</t>
  </si>
  <si>
    <t>10,000/month</t>
  </si>
  <si>
    <t>15,000/month</t>
  </si>
  <si>
    <t>25,000/month</t>
  </si>
  <si>
    <t>50,000 per month x 2</t>
  </si>
  <si>
    <t>Annual BTN</t>
  </si>
  <si>
    <t xml:space="preserve">BTN   </t>
  </si>
  <si>
    <t>BTN/Year</t>
  </si>
  <si>
    <t>USD/year</t>
  </si>
  <si>
    <t xml:space="preserve">     Total Equipment</t>
  </si>
  <si>
    <t xml:space="preserve">         Total Utility Costs</t>
  </si>
  <si>
    <t xml:space="preserve">           Total Staff Costs</t>
  </si>
  <si>
    <t xml:space="preserve">   Project Designer, Survey,  Architect</t>
  </si>
  <si>
    <t xml:space="preserve">         Total Professional Fees</t>
  </si>
  <si>
    <t xml:space="preserve">    3 Restaurant Service</t>
  </si>
  <si>
    <t xml:space="preserve">    2 Receptionists</t>
  </si>
  <si>
    <t xml:space="preserve">    4 Therapists</t>
  </si>
  <si>
    <t xml:space="preserve">    2 Indigenous doctors</t>
  </si>
  <si>
    <t xml:space="preserve">    2 Drivers</t>
  </si>
  <si>
    <t>BTN</t>
  </si>
  <si>
    <t xml:space="preserve">    Total Land Cost</t>
  </si>
  <si>
    <t>50*350,000 BTN</t>
  </si>
  <si>
    <t xml:space="preserve">    Additional 50 decimals  @ 450,000 BTN</t>
  </si>
  <si>
    <t>50*450,000 BTN</t>
  </si>
  <si>
    <t>$USD</t>
  </si>
  <si>
    <t>Phase 2. Construction</t>
  </si>
  <si>
    <t xml:space="preserve">    50 decimals secured @ 350,000</t>
  </si>
  <si>
    <t xml:space="preserve">We have secured  agreement for 1/2 acre land (50 decimals) at a very good price 350,000 BTN per decimal. </t>
  </si>
  <si>
    <t>Phase 3. Open for treatments, classes, monthly events for Bhutan members, tourists, and public</t>
  </si>
  <si>
    <t>12,000 per month x 2</t>
  </si>
  <si>
    <t xml:space="preserve">    2 Security</t>
  </si>
  <si>
    <t xml:space="preserve">   Local Event organizer, promotion</t>
  </si>
  <si>
    <t xml:space="preserve">   International Conference Planning</t>
  </si>
  <si>
    <t>75,000/mo</t>
  </si>
  <si>
    <t xml:space="preserve">   Restaurant Chef</t>
  </si>
  <si>
    <t>85% of US Cost</t>
  </si>
  <si>
    <t>According to Statistica, construction costs of a three-star hotel range from $212 to $550 per square foot across different cities in the US. The location alone can account for up to 70% of the construction costs of a hotel.</t>
  </si>
  <si>
    <t>Office: $150 - 200 per sq foot All costs including design, architecture, construction, furniture, fixtures, IT implementation, and more, the average cost to build out an office is $196.49 per square foot.</t>
  </si>
  <si>
    <t xml:space="preserve">Restaurant for100 people 15 sf/person = 1500 sf dining area. This is 60% of the space.  Then we need 40% or 1000 sq feet for kitchen etc. </t>
  </si>
  <si>
    <t>Construction Square Footage Estimate</t>
  </si>
  <si>
    <t>US Cost per Square Footage Averages</t>
  </si>
  <si>
    <t>unknown</t>
  </si>
  <si>
    <t xml:space="preserve">   Launch Hi-tech clinic, MedBeds, Invite high-profile guests, include all people, Launch conferences</t>
  </si>
  <si>
    <t xml:space="preserve">We prefer 1 acre (100 decimals). Current price is 450,000 BTN per decimal and going up. We should secure it now.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</si>
</sst>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2"/>
      <color theme="1"/>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sz val="14"/>
      <color theme="1"/>
      <name val="Helvetica Neue"/>
      <family val="2"/>
    </font>
    <font>
      <sz val="14"/>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3" fontId="1"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xf numFmtId="4" fontId="1" fillId="0" borderId="0" xfId="0" applyNumberFormat="1" applyFont="1" applyAlignment="1">
      <alignment horizontal="center"/>
    </xf>
    <xf numFmtId="0" fontId="2" fillId="0" borderId="0" xfId="0" applyFont="1" applyAlignment="1">
      <alignment horizontal="left"/>
    </xf>
    <xf numFmtId="3" fontId="1" fillId="0" borderId="0" xfId="0" applyNumberFormat="1" applyFont="1"/>
    <xf numFmtId="3"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1" fillId="0" borderId="0" xfId="0" applyFont="1" applyAlignment="1">
      <alignment horizontal="center"/>
    </xf>
    <xf numFmtId="3" fontId="0" fillId="0" borderId="0" xfId="0" applyNumberFormat="1" applyAlignment="1">
      <alignment horizontal="center"/>
    </xf>
    <xf numFmtId="164" fontId="0" fillId="0" borderId="0" xfId="0" applyNumberFormat="1" applyAlignment="1">
      <alignment horizontal="right"/>
    </xf>
    <xf numFmtId="0" fontId="0" fillId="0" borderId="0" xfId="0" applyAlignment="1">
      <alignment horizontal="right"/>
    </xf>
    <xf numFmtId="164" fontId="0" fillId="0" borderId="0" xfId="0" applyNumberFormat="1"/>
    <xf numFmtId="3" fontId="0" fillId="0" borderId="0" xfId="0" applyNumberFormat="1"/>
    <xf numFmtId="164" fontId="0" fillId="0" borderId="0" xfId="0" applyNumberFormat="1" applyAlignment="1">
      <alignment horizontal="center"/>
    </xf>
    <xf numFmtId="0" fontId="4" fillId="0" borderId="0" xfId="0" applyFont="1"/>
    <xf numFmtId="0" fontId="5" fillId="0" borderId="0" xfId="0" applyFont="1"/>
    <xf numFmtId="3" fontId="0" fillId="0" borderId="0" xfId="0" applyNumberFormat="1" applyAlignment="1">
      <alignment horizontal="right"/>
    </xf>
    <xf numFmtId="0" fontId="3" fillId="0" borderId="0" xfId="0" applyFont="1" applyAlignment="1">
      <alignment horizontal="center"/>
    </xf>
    <xf numFmtId="4" fontId="3"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B29E-B967-5E4A-89A5-33AFB0AC1102}">
  <dimension ref="A1:G93"/>
  <sheetViews>
    <sheetView tabSelected="1" zoomScale="156" zoomScaleNormal="156" workbookViewId="0">
      <selection activeCell="A71" sqref="A71"/>
    </sheetView>
  </sheetViews>
  <sheetFormatPr baseColWidth="10" defaultRowHeight="16" x14ac:dyDescent="0.2"/>
  <cols>
    <col min="1" max="1" width="36.83203125" customWidth="1"/>
    <col min="2" max="2" width="26" customWidth="1"/>
    <col min="3" max="3" width="11.6640625" style="12" bestFit="1" customWidth="1"/>
    <col min="4" max="4" width="13.5" style="14" customWidth="1"/>
    <col min="5" max="5" width="10.6640625" style="15" customWidth="1"/>
    <col min="6" max="6" width="14" style="16" customWidth="1"/>
    <col min="7" max="7" width="13" style="15" customWidth="1"/>
    <col min="8" max="8" width="12.1640625" bestFit="1" customWidth="1"/>
  </cols>
  <sheetData>
    <row r="1" spans="1:7" x14ac:dyDescent="0.2">
      <c r="A1" s="1" t="s">
        <v>0</v>
      </c>
    </row>
    <row r="2" spans="1:7" x14ac:dyDescent="0.2">
      <c r="A2" t="s">
        <v>43</v>
      </c>
      <c r="C2" s="2" t="s">
        <v>34</v>
      </c>
      <c r="D2" s="8" t="s">
        <v>34</v>
      </c>
      <c r="F2" s="2" t="s">
        <v>36</v>
      </c>
      <c r="G2" s="4" t="s">
        <v>31</v>
      </c>
    </row>
    <row r="3" spans="1:7" x14ac:dyDescent="0.2">
      <c r="B3" s="1" t="s">
        <v>39</v>
      </c>
      <c r="C3" s="2" t="s">
        <v>8</v>
      </c>
      <c r="D3" s="9" t="s">
        <v>33</v>
      </c>
      <c r="E3" s="3" t="s">
        <v>9</v>
      </c>
      <c r="F3" s="2" t="s">
        <v>30</v>
      </c>
      <c r="G3" s="3" t="s">
        <v>32</v>
      </c>
    </row>
    <row r="4" spans="1:7" x14ac:dyDescent="0.2">
      <c r="C4" s="2"/>
      <c r="D4" s="9"/>
      <c r="E4" s="3"/>
      <c r="F4" s="5" t="s">
        <v>35</v>
      </c>
      <c r="G4" s="3" t="s">
        <v>110</v>
      </c>
    </row>
    <row r="5" spans="1:7" x14ac:dyDescent="0.2">
      <c r="A5" t="s">
        <v>29</v>
      </c>
      <c r="B5" t="s">
        <v>23</v>
      </c>
      <c r="C5" s="12">
        <v>2000</v>
      </c>
      <c r="D5" s="13">
        <v>120</v>
      </c>
      <c r="E5" s="17">
        <f>C5*D5</f>
        <v>240000</v>
      </c>
      <c r="F5" s="16">
        <f>+E5*82.87</f>
        <v>19888800</v>
      </c>
      <c r="G5" s="15">
        <f>E5*0.85</f>
        <v>204000</v>
      </c>
    </row>
    <row r="6" spans="1:7" x14ac:dyDescent="0.2">
      <c r="A6" t="s">
        <v>17</v>
      </c>
      <c r="B6" t="s">
        <v>18</v>
      </c>
      <c r="C6" s="12">
        <v>450</v>
      </c>
      <c r="D6" s="13">
        <v>100</v>
      </c>
      <c r="E6" s="17">
        <f t="shared" ref="E6:E18" si="0">C6*D6</f>
        <v>45000</v>
      </c>
      <c r="F6" s="16">
        <f t="shared" ref="F6:F18" si="1">+E6*82.87</f>
        <v>3729150</v>
      </c>
      <c r="G6" s="15">
        <f t="shared" ref="G6:G18" si="2">E6*0.85</f>
        <v>38250</v>
      </c>
    </row>
    <row r="7" spans="1:7" x14ac:dyDescent="0.2">
      <c r="A7" t="s">
        <v>3</v>
      </c>
      <c r="C7" s="12">
        <v>1500</v>
      </c>
      <c r="D7" s="13">
        <v>124</v>
      </c>
      <c r="E7" s="17">
        <f t="shared" si="0"/>
        <v>186000</v>
      </c>
      <c r="F7" s="16">
        <f t="shared" si="1"/>
        <v>15413820</v>
      </c>
      <c r="G7" s="15">
        <f t="shared" si="2"/>
        <v>158100</v>
      </c>
    </row>
    <row r="8" spans="1:7" x14ac:dyDescent="0.2">
      <c r="A8" t="s">
        <v>4</v>
      </c>
      <c r="C8" s="12">
        <v>1000</v>
      </c>
      <c r="D8" s="13">
        <v>150</v>
      </c>
      <c r="E8" s="17">
        <f t="shared" si="0"/>
        <v>150000</v>
      </c>
      <c r="F8" s="16">
        <f t="shared" si="1"/>
        <v>12430500</v>
      </c>
      <c r="G8" s="15">
        <f t="shared" si="2"/>
        <v>127500</v>
      </c>
    </row>
    <row r="9" spans="1:7" x14ac:dyDescent="0.2">
      <c r="A9" t="s">
        <v>1</v>
      </c>
      <c r="B9" s="6" t="s">
        <v>19</v>
      </c>
      <c r="C9" s="12">
        <f>150*5</f>
        <v>750</v>
      </c>
      <c r="D9" s="13">
        <v>200</v>
      </c>
      <c r="E9" s="17">
        <f t="shared" si="0"/>
        <v>150000</v>
      </c>
      <c r="F9" s="16">
        <f t="shared" si="1"/>
        <v>12430500</v>
      </c>
      <c r="G9" s="15">
        <f t="shared" si="2"/>
        <v>127500</v>
      </c>
    </row>
    <row r="10" spans="1:7" x14ac:dyDescent="0.2">
      <c r="A10" t="s">
        <v>2</v>
      </c>
      <c r="B10" s="6" t="s">
        <v>20</v>
      </c>
      <c r="C10" s="12">
        <f>150*3</f>
        <v>450</v>
      </c>
      <c r="D10" s="13">
        <v>400</v>
      </c>
      <c r="E10" s="17">
        <f t="shared" si="0"/>
        <v>180000</v>
      </c>
      <c r="F10" s="16">
        <f t="shared" si="1"/>
        <v>14916600</v>
      </c>
      <c r="G10" s="15">
        <f t="shared" si="2"/>
        <v>153000</v>
      </c>
    </row>
    <row r="11" spans="1:7" x14ac:dyDescent="0.2">
      <c r="A11" t="s">
        <v>26</v>
      </c>
      <c r="B11" s="6" t="s">
        <v>19</v>
      </c>
      <c r="C11" s="12">
        <f>150*4</f>
        <v>600</v>
      </c>
      <c r="D11" s="13">
        <v>200</v>
      </c>
      <c r="E11" s="17">
        <f t="shared" si="0"/>
        <v>120000</v>
      </c>
      <c r="F11" s="16">
        <f t="shared" si="1"/>
        <v>9944400</v>
      </c>
      <c r="G11" s="15">
        <f t="shared" si="2"/>
        <v>102000</v>
      </c>
    </row>
    <row r="12" spans="1:7" x14ac:dyDescent="0.2">
      <c r="A12" t="s">
        <v>28</v>
      </c>
      <c r="C12" s="12">
        <v>600</v>
      </c>
      <c r="D12" s="13">
        <v>100</v>
      </c>
      <c r="E12" s="17">
        <f t="shared" si="0"/>
        <v>60000</v>
      </c>
      <c r="F12" s="16">
        <f t="shared" si="1"/>
        <v>4972200</v>
      </c>
      <c r="G12" s="15">
        <f t="shared" si="2"/>
        <v>51000</v>
      </c>
    </row>
    <row r="13" spans="1:7" x14ac:dyDescent="0.2">
      <c r="A13" t="s">
        <v>5</v>
      </c>
      <c r="C13" s="12">
        <v>600</v>
      </c>
      <c r="D13" s="13">
        <v>150</v>
      </c>
      <c r="E13" s="17">
        <f t="shared" si="0"/>
        <v>90000</v>
      </c>
      <c r="F13" s="16">
        <f t="shared" si="1"/>
        <v>7458300</v>
      </c>
      <c r="G13" s="15">
        <f t="shared" si="2"/>
        <v>76500</v>
      </c>
    </row>
    <row r="14" spans="1:7" x14ac:dyDescent="0.2">
      <c r="A14" t="s">
        <v>6</v>
      </c>
      <c r="B14" t="s">
        <v>41</v>
      </c>
      <c r="C14" s="12" t="s">
        <v>42</v>
      </c>
      <c r="D14" s="13"/>
      <c r="E14" s="17"/>
      <c r="G14" s="15">
        <f t="shared" si="2"/>
        <v>0</v>
      </c>
    </row>
    <row r="15" spans="1:7" x14ac:dyDescent="0.2">
      <c r="A15" t="s">
        <v>7</v>
      </c>
      <c r="C15" s="12">
        <v>1800</v>
      </c>
      <c r="D15" s="13">
        <v>125</v>
      </c>
      <c r="E15" s="17">
        <f t="shared" si="0"/>
        <v>225000</v>
      </c>
      <c r="F15" s="16">
        <f t="shared" si="1"/>
        <v>18645750</v>
      </c>
      <c r="G15" s="15">
        <f t="shared" si="2"/>
        <v>191250</v>
      </c>
    </row>
    <row r="16" spans="1:7" x14ac:dyDescent="0.2">
      <c r="A16" t="s">
        <v>37</v>
      </c>
      <c r="C16" s="12">
        <v>600</v>
      </c>
      <c r="D16" s="13">
        <v>125</v>
      </c>
      <c r="E16" s="17">
        <f t="shared" si="0"/>
        <v>75000</v>
      </c>
      <c r="F16" s="16">
        <f t="shared" si="1"/>
        <v>6215250</v>
      </c>
      <c r="G16" s="15">
        <f t="shared" si="2"/>
        <v>63750</v>
      </c>
    </row>
    <row r="17" spans="1:7" x14ac:dyDescent="0.2">
      <c r="A17" t="s">
        <v>38</v>
      </c>
      <c r="B17" t="s">
        <v>22</v>
      </c>
      <c r="C17" s="12">
        <v>600</v>
      </c>
      <c r="D17" s="13">
        <v>150</v>
      </c>
      <c r="E17" s="17">
        <f t="shared" si="0"/>
        <v>90000</v>
      </c>
      <c r="F17" s="16">
        <f t="shared" si="1"/>
        <v>7458300</v>
      </c>
      <c r="G17" s="15">
        <f t="shared" si="2"/>
        <v>76500</v>
      </c>
    </row>
    <row r="18" spans="1:7" x14ac:dyDescent="0.2">
      <c r="A18" t="s">
        <v>21</v>
      </c>
      <c r="C18" s="12">
        <v>600</v>
      </c>
      <c r="D18" s="13">
        <v>150</v>
      </c>
      <c r="E18" s="17">
        <f t="shared" si="0"/>
        <v>90000</v>
      </c>
      <c r="F18" s="16">
        <f t="shared" si="1"/>
        <v>7458300</v>
      </c>
      <c r="G18" s="15">
        <f t="shared" si="2"/>
        <v>76500</v>
      </c>
    </row>
    <row r="20" spans="1:7" x14ac:dyDescent="0.2">
      <c r="A20" s="1" t="s">
        <v>44</v>
      </c>
      <c r="C20" s="12">
        <f>SUM(C5:C19)</f>
        <v>11550</v>
      </c>
      <c r="E20" s="15">
        <f>SUM(E5:E19)</f>
        <v>1701000</v>
      </c>
      <c r="F20" s="16">
        <f>SUM(F4:F19)</f>
        <v>140961870</v>
      </c>
      <c r="G20" s="15">
        <f>SUM(G5:G18)</f>
        <v>1445850</v>
      </c>
    </row>
    <row r="21" spans="1:7" x14ac:dyDescent="0.2">
      <c r="A21" s="1" t="s">
        <v>40</v>
      </c>
      <c r="E21" s="15">
        <f>E20/C20</f>
        <v>147.27272727272728</v>
      </c>
      <c r="G21" s="15">
        <f>G20/C20</f>
        <v>125.18181818181819</v>
      </c>
    </row>
    <row r="23" spans="1:7" x14ac:dyDescent="0.2">
      <c r="A23" s="1" t="s">
        <v>114</v>
      </c>
    </row>
    <row r="24" spans="1:7" ht="18" x14ac:dyDescent="0.2">
      <c r="A24" t="s">
        <v>113</v>
      </c>
      <c r="B24" s="18"/>
    </row>
    <row r="25" spans="1:7" ht="18" x14ac:dyDescent="0.2">
      <c r="A25" t="s">
        <v>10</v>
      </c>
      <c r="B25" s="18"/>
    </row>
    <row r="26" spans="1:7" ht="18" x14ac:dyDescent="0.2">
      <c r="A26" t="s">
        <v>11</v>
      </c>
      <c r="B26" s="18"/>
    </row>
    <row r="27" spans="1:7" ht="18" x14ac:dyDescent="0.2">
      <c r="A27" t="s">
        <v>12</v>
      </c>
      <c r="B27" s="18"/>
    </row>
    <row r="28" spans="1:7" ht="18" x14ac:dyDescent="0.2">
      <c r="A28" t="s">
        <v>13</v>
      </c>
      <c r="B28" s="18"/>
    </row>
    <row r="29" spans="1:7" x14ac:dyDescent="0.2">
      <c r="A29" t="s">
        <v>14</v>
      </c>
    </row>
    <row r="30" spans="1:7" ht="18" x14ac:dyDescent="0.2">
      <c r="B30" s="19"/>
    </row>
    <row r="31" spans="1:7" ht="18" x14ac:dyDescent="0.2">
      <c r="A31" t="s">
        <v>15</v>
      </c>
      <c r="B31" s="19"/>
    </row>
    <row r="32" spans="1:7" x14ac:dyDescent="0.2">
      <c r="A32" t="s">
        <v>16</v>
      </c>
    </row>
    <row r="34" spans="1:4" x14ac:dyDescent="0.2">
      <c r="A34" s="1" t="s">
        <v>115</v>
      </c>
    </row>
    <row r="35" spans="1:4" x14ac:dyDescent="0.2">
      <c r="A35" t="s">
        <v>112</v>
      </c>
    </row>
    <row r="36" spans="1:4" x14ac:dyDescent="0.2">
      <c r="A36" t="s">
        <v>24</v>
      </c>
    </row>
    <row r="37" spans="1:4" x14ac:dyDescent="0.2">
      <c r="A37" t="s">
        <v>25</v>
      </c>
    </row>
    <row r="38" spans="1:4" x14ac:dyDescent="0.2">
      <c r="A38" t="s">
        <v>111</v>
      </c>
      <c r="B38" t="s">
        <v>27</v>
      </c>
    </row>
    <row r="39" spans="1:4" x14ac:dyDescent="0.2">
      <c r="D39" s="11" t="s">
        <v>99</v>
      </c>
    </row>
    <row r="40" spans="1:4" x14ac:dyDescent="0.2">
      <c r="A40" s="1" t="s">
        <v>56</v>
      </c>
      <c r="C40" s="2" t="s">
        <v>94</v>
      </c>
      <c r="D40" s="5" t="s">
        <v>35</v>
      </c>
    </row>
    <row r="41" spans="1:4" x14ac:dyDescent="0.2">
      <c r="A41" t="s">
        <v>102</v>
      </c>
    </row>
    <row r="42" spans="1:4" x14ac:dyDescent="0.2">
      <c r="A42" t="s">
        <v>118</v>
      </c>
    </row>
    <row r="43" spans="1:4" x14ac:dyDescent="0.2">
      <c r="A43" t="s">
        <v>101</v>
      </c>
      <c r="B43" s="16" t="s">
        <v>96</v>
      </c>
      <c r="C43" s="16">
        <f>50*350000</f>
        <v>17500000</v>
      </c>
      <c r="D43" s="13">
        <f>C43/82.87</f>
        <v>211174.12815252805</v>
      </c>
    </row>
    <row r="44" spans="1:4" x14ac:dyDescent="0.2">
      <c r="A44" t="s">
        <v>97</v>
      </c>
      <c r="B44" s="16" t="s">
        <v>98</v>
      </c>
      <c r="C44" s="16">
        <f>50*450000</f>
        <v>22500000</v>
      </c>
      <c r="D44" s="13">
        <f>C44/82.87</f>
        <v>271509.59333896462</v>
      </c>
    </row>
    <row r="45" spans="1:4" x14ac:dyDescent="0.2">
      <c r="A45" s="1" t="s">
        <v>95</v>
      </c>
      <c r="B45" s="1"/>
      <c r="C45" s="2">
        <f>SUM(C43:C44)</f>
        <v>40000000</v>
      </c>
      <c r="D45" s="10">
        <f>SUM(D43:D44)</f>
        <v>482683.7214914927</v>
      </c>
    </row>
    <row r="46" spans="1:4" x14ac:dyDescent="0.2">
      <c r="D46" s="13"/>
    </row>
    <row r="47" spans="1:4" x14ac:dyDescent="0.2">
      <c r="A47" s="1" t="s">
        <v>47</v>
      </c>
      <c r="B47" s="1" t="s">
        <v>81</v>
      </c>
      <c r="C47" s="2" t="s">
        <v>82</v>
      </c>
      <c r="D47" s="9" t="s">
        <v>83</v>
      </c>
    </row>
    <row r="48" spans="1:4" x14ac:dyDescent="0.2">
      <c r="A48" t="s">
        <v>46</v>
      </c>
      <c r="B48" s="20">
        <v>500000</v>
      </c>
      <c r="C48" s="20">
        <v>500000</v>
      </c>
      <c r="D48" s="13">
        <f>C48/82.87</f>
        <v>6033.5465186436586</v>
      </c>
    </row>
    <row r="49" spans="1:7" x14ac:dyDescent="0.2">
      <c r="A49" t="s">
        <v>4</v>
      </c>
      <c r="B49" s="20">
        <v>600000</v>
      </c>
      <c r="C49" s="20">
        <v>600000</v>
      </c>
      <c r="D49" s="13">
        <f t="shared" ref="D49:D83" si="3">C49/82.87</f>
        <v>7240.25582237239</v>
      </c>
    </row>
    <row r="50" spans="1:7" x14ac:dyDescent="0.2">
      <c r="A50" t="s">
        <v>5</v>
      </c>
      <c r="B50" s="20">
        <v>550000</v>
      </c>
      <c r="C50" s="20">
        <v>550000</v>
      </c>
      <c r="D50" s="13">
        <f t="shared" si="3"/>
        <v>6636.9011705080238</v>
      </c>
    </row>
    <row r="51" spans="1:7" x14ac:dyDescent="0.2">
      <c r="A51" t="s">
        <v>59</v>
      </c>
      <c r="B51" s="20">
        <v>600000</v>
      </c>
      <c r="C51" s="20">
        <v>600000</v>
      </c>
      <c r="D51" s="13">
        <f t="shared" si="3"/>
        <v>7240.25582237239</v>
      </c>
    </row>
    <row r="52" spans="1:7" x14ac:dyDescent="0.2">
      <c r="A52" t="s">
        <v>52</v>
      </c>
      <c r="B52" s="14" t="s">
        <v>116</v>
      </c>
      <c r="C52" s="20"/>
      <c r="D52" s="13"/>
    </row>
    <row r="53" spans="1:7" x14ac:dyDescent="0.2">
      <c r="A53" t="s">
        <v>53</v>
      </c>
      <c r="B53" s="14" t="s">
        <v>57</v>
      </c>
      <c r="C53" s="20">
        <v>1130000</v>
      </c>
      <c r="D53" s="13">
        <f t="shared" si="3"/>
        <v>13635.815132134669</v>
      </c>
    </row>
    <row r="54" spans="1:7" x14ac:dyDescent="0.2">
      <c r="A54" t="s">
        <v>54</v>
      </c>
      <c r="B54" s="14" t="s">
        <v>58</v>
      </c>
      <c r="C54" s="20">
        <v>700000</v>
      </c>
      <c r="D54" s="13">
        <f t="shared" si="3"/>
        <v>8446.9651261011222</v>
      </c>
    </row>
    <row r="55" spans="1:7" s="1" customFormat="1" x14ac:dyDescent="0.2">
      <c r="A55" s="1" t="s">
        <v>84</v>
      </c>
      <c r="C55" s="10">
        <f>SUM(C48:C54)</f>
        <v>4080000</v>
      </c>
      <c r="D55" s="10">
        <f>SUM(D48:D54)</f>
        <v>49233.739592132253</v>
      </c>
      <c r="E55" s="4"/>
      <c r="F55" s="7"/>
      <c r="G55" s="4"/>
    </row>
    <row r="56" spans="1:7" x14ac:dyDescent="0.2">
      <c r="D56" s="13"/>
    </row>
    <row r="57" spans="1:7" x14ac:dyDescent="0.2">
      <c r="A57" s="1" t="s">
        <v>45</v>
      </c>
      <c r="D57" s="13"/>
    </row>
    <row r="58" spans="1:7" x14ac:dyDescent="0.2">
      <c r="D58" s="13"/>
    </row>
    <row r="59" spans="1:7" s="1" customFormat="1" x14ac:dyDescent="0.2">
      <c r="A59" s="1" t="s">
        <v>55</v>
      </c>
      <c r="C59" s="2"/>
      <c r="D59" s="21" t="s">
        <v>99</v>
      </c>
      <c r="E59" s="4"/>
      <c r="F59" s="7"/>
      <c r="G59" s="4"/>
    </row>
    <row r="60" spans="1:7" x14ac:dyDescent="0.2">
      <c r="B60" s="1" t="s">
        <v>81</v>
      </c>
      <c r="C60" s="2" t="s">
        <v>82</v>
      </c>
      <c r="D60" s="22" t="s">
        <v>35</v>
      </c>
    </row>
    <row r="61" spans="1:7" x14ac:dyDescent="0.2">
      <c r="A61" t="s">
        <v>87</v>
      </c>
      <c r="B61" s="20">
        <v>10000000</v>
      </c>
      <c r="C61" s="20">
        <v>10000000</v>
      </c>
      <c r="D61" s="13">
        <f t="shared" si="3"/>
        <v>120670.93037287316</v>
      </c>
    </row>
    <row r="62" spans="1:7" x14ac:dyDescent="0.2">
      <c r="A62" t="s">
        <v>48</v>
      </c>
      <c r="B62" s="20">
        <v>400000</v>
      </c>
      <c r="C62" s="20">
        <v>400000</v>
      </c>
      <c r="D62" s="13">
        <f t="shared" si="3"/>
        <v>4826.8372149149263</v>
      </c>
    </row>
    <row r="63" spans="1:7" x14ac:dyDescent="0.2">
      <c r="A63" s="1" t="s">
        <v>88</v>
      </c>
      <c r="B63" s="9"/>
      <c r="C63" s="8">
        <f>SUM(C61:C62)</f>
        <v>10400000</v>
      </c>
      <c r="D63" s="10">
        <f>SUM(D61:D62)</f>
        <v>125497.76758778808</v>
      </c>
    </row>
    <row r="64" spans="1:7" s="1" customFormat="1" x14ac:dyDescent="0.2">
      <c r="E64" s="4"/>
      <c r="F64" s="7"/>
      <c r="G64" s="4"/>
    </row>
    <row r="65" spans="1:7" s="1" customFormat="1" x14ac:dyDescent="0.2">
      <c r="A65" s="1" t="s">
        <v>100</v>
      </c>
      <c r="C65" s="2"/>
      <c r="D65" s="13"/>
      <c r="E65" s="4"/>
      <c r="F65" s="7"/>
      <c r="G65" s="4"/>
    </row>
    <row r="66" spans="1:7" x14ac:dyDescent="0.2">
      <c r="A66" t="s">
        <v>49</v>
      </c>
      <c r="B66" t="s">
        <v>60</v>
      </c>
      <c r="C66" s="12">
        <v>120000000</v>
      </c>
      <c r="D66" s="13">
        <f t="shared" si="3"/>
        <v>1448051.164474478</v>
      </c>
    </row>
    <row r="67" spans="1:7" x14ac:dyDescent="0.2">
      <c r="A67" t="s">
        <v>51</v>
      </c>
      <c r="B67" t="s">
        <v>61</v>
      </c>
      <c r="D67" s="13"/>
    </row>
    <row r="68" spans="1:7" x14ac:dyDescent="0.2">
      <c r="D68" s="21" t="s">
        <v>99</v>
      </c>
    </row>
    <row r="69" spans="1:7" x14ac:dyDescent="0.2">
      <c r="C69" s="2" t="s">
        <v>82</v>
      </c>
      <c r="D69" s="22" t="s">
        <v>35</v>
      </c>
    </row>
    <row r="70" spans="1:7" s="1" customFormat="1" x14ac:dyDescent="0.2">
      <c r="A70" s="1" t="s">
        <v>103</v>
      </c>
      <c r="C70" s="2"/>
      <c r="D70" s="13"/>
      <c r="E70" s="4"/>
      <c r="F70" s="7"/>
      <c r="G70" s="4"/>
    </row>
    <row r="71" spans="1:7" s="1" customFormat="1" x14ac:dyDescent="0.2">
      <c r="A71" s="1" t="s">
        <v>117</v>
      </c>
      <c r="C71" s="2"/>
      <c r="D71" s="13"/>
      <c r="E71" s="4"/>
      <c r="F71" s="7"/>
      <c r="G71" s="4"/>
    </row>
    <row r="72" spans="1:7" x14ac:dyDescent="0.2">
      <c r="A72" t="s">
        <v>50</v>
      </c>
      <c r="B72" t="s">
        <v>62</v>
      </c>
      <c r="C72" s="12">
        <f>135000*12</f>
        <v>1620000</v>
      </c>
      <c r="D72" s="13">
        <f t="shared" si="3"/>
        <v>19548.690720405455</v>
      </c>
    </row>
    <row r="73" spans="1:7" x14ac:dyDescent="0.2">
      <c r="A73" t="s">
        <v>107</v>
      </c>
      <c r="B73" t="s">
        <v>108</v>
      </c>
      <c r="C73" s="12">
        <f>75000*12</f>
        <v>900000</v>
      </c>
      <c r="D73" s="13">
        <f>C73/82.87</f>
        <v>10860.383733558585</v>
      </c>
    </row>
    <row r="74" spans="1:7" x14ac:dyDescent="0.2">
      <c r="A74" t="s">
        <v>106</v>
      </c>
      <c r="B74" t="s">
        <v>70</v>
      </c>
      <c r="C74" s="12">
        <f>55000*12</f>
        <v>660000</v>
      </c>
      <c r="D74" s="13">
        <f t="shared" si="3"/>
        <v>7964.2814046096291</v>
      </c>
    </row>
    <row r="75" spans="1:7" x14ac:dyDescent="0.2">
      <c r="A75" t="s">
        <v>109</v>
      </c>
      <c r="B75" t="s">
        <v>69</v>
      </c>
      <c r="C75" s="12">
        <f>30000*12</f>
        <v>360000</v>
      </c>
      <c r="D75" s="13">
        <f t="shared" si="3"/>
        <v>4344.1534934234342</v>
      </c>
    </row>
    <row r="76" spans="1:7" x14ac:dyDescent="0.2">
      <c r="A76" t="s">
        <v>67</v>
      </c>
      <c r="B76" t="s">
        <v>68</v>
      </c>
      <c r="C76" s="12">
        <f>40000*12</f>
        <v>480000</v>
      </c>
      <c r="D76" s="13">
        <f t="shared" si="3"/>
        <v>5792.2046578979125</v>
      </c>
    </row>
    <row r="77" spans="1:7" x14ac:dyDescent="0.2">
      <c r="A77" t="s">
        <v>89</v>
      </c>
      <c r="B77" t="s">
        <v>66</v>
      </c>
      <c r="C77" s="12">
        <f>17000*3*12</f>
        <v>612000</v>
      </c>
      <c r="D77" s="13">
        <f t="shared" si="3"/>
        <v>7385.0609388198382</v>
      </c>
    </row>
    <row r="78" spans="1:7" s="1" customFormat="1" x14ac:dyDescent="0.2">
      <c r="A78" t="s">
        <v>90</v>
      </c>
      <c r="B78" t="s">
        <v>65</v>
      </c>
      <c r="C78" s="12">
        <f>15000*24</f>
        <v>360000</v>
      </c>
      <c r="D78" s="13">
        <f t="shared" si="3"/>
        <v>4344.1534934234342</v>
      </c>
      <c r="E78" s="4"/>
      <c r="F78" s="7"/>
      <c r="G78" s="4"/>
    </row>
    <row r="79" spans="1:7" x14ac:dyDescent="0.2">
      <c r="A79" t="s">
        <v>63</v>
      </c>
      <c r="B79" t="s">
        <v>65</v>
      </c>
      <c r="C79" s="12">
        <f>30000*12</f>
        <v>360000</v>
      </c>
      <c r="D79" s="13">
        <f t="shared" si="3"/>
        <v>4344.1534934234342</v>
      </c>
    </row>
    <row r="80" spans="1:7" x14ac:dyDescent="0.2">
      <c r="A80" t="s">
        <v>91</v>
      </c>
      <c r="B80" t="s">
        <v>64</v>
      </c>
      <c r="C80" s="12">
        <f>100000*12</f>
        <v>1200000</v>
      </c>
      <c r="D80" s="13">
        <f t="shared" si="3"/>
        <v>14480.51164474478</v>
      </c>
    </row>
    <row r="81" spans="1:7" x14ac:dyDescent="0.2">
      <c r="A81" t="s">
        <v>92</v>
      </c>
      <c r="B81" t="s">
        <v>79</v>
      </c>
      <c r="C81" s="12">
        <f>100000*12</f>
        <v>1200000</v>
      </c>
      <c r="D81" s="13">
        <f t="shared" si="3"/>
        <v>14480.51164474478</v>
      </c>
    </row>
    <row r="82" spans="1:7" x14ac:dyDescent="0.2">
      <c r="A82" t="s">
        <v>105</v>
      </c>
      <c r="B82" t="s">
        <v>104</v>
      </c>
      <c r="C82" s="12">
        <f>24000*12</f>
        <v>288000</v>
      </c>
      <c r="D82" s="13">
        <f t="shared" si="3"/>
        <v>3475.3227947387472</v>
      </c>
    </row>
    <row r="83" spans="1:7" x14ac:dyDescent="0.2">
      <c r="A83" t="s">
        <v>93</v>
      </c>
      <c r="B83" s="16" t="s">
        <v>72</v>
      </c>
      <c r="C83" s="12">
        <f>50000*12</f>
        <v>600000</v>
      </c>
      <c r="D83" s="13">
        <f t="shared" si="3"/>
        <v>7240.25582237239</v>
      </c>
    </row>
    <row r="84" spans="1:7" s="1" customFormat="1" x14ac:dyDescent="0.2">
      <c r="A84" s="1" t="s">
        <v>86</v>
      </c>
      <c r="B84" s="7"/>
      <c r="C84" s="2">
        <f>SUM(C72:C83)</f>
        <v>8640000</v>
      </c>
      <c r="D84" s="10">
        <f>SUM(D72:D83)</f>
        <v>104259.68384216243</v>
      </c>
      <c r="E84" s="4"/>
      <c r="F84" s="7"/>
      <c r="G84" s="4"/>
    </row>
    <row r="85" spans="1:7" x14ac:dyDescent="0.2">
      <c r="B85" s="16"/>
      <c r="D85" s="13"/>
    </row>
    <row r="86" spans="1:7" x14ac:dyDescent="0.2">
      <c r="D86" s="21" t="s">
        <v>99</v>
      </c>
    </row>
    <row r="87" spans="1:7" x14ac:dyDescent="0.2">
      <c r="A87" s="1" t="s">
        <v>71</v>
      </c>
      <c r="C87" s="2" t="s">
        <v>80</v>
      </c>
      <c r="D87" s="22" t="s">
        <v>35</v>
      </c>
    </row>
    <row r="88" spans="1:7" x14ac:dyDescent="0.2">
      <c r="A88" t="s">
        <v>73</v>
      </c>
      <c r="B88" t="s">
        <v>76</v>
      </c>
      <c r="C88" s="12">
        <f>10000*12</f>
        <v>120000</v>
      </c>
      <c r="D88" s="13">
        <f t="shared" ref="D88" si="4">C88/82.87</f>
        <v>1448.0511644744781</v>
      </c>
    </row>
    <row r="89" spans="1:7" x14ac:dyDescent="0.2">
      <c r="A89" t="s">
        <v>74</v>
      </c>
      <c r="B89" t="s">
        <v>77</v>
      </c>
      <c r="C89" s="12">
        <f>15000*12</f>
        <v>180000</v>
      </c>
      <c r="D89" s="13">
        <v>7240.26</v>
      </c>
    </row>
    <row r="90" spans="1:7" x14ac:dyDescent="0.2">
      <c r="A90" t="s">
        <v>75</v>
      </c>
      <c r="B90" t="s">
        <v>78</v>
      </c>
      <c r="C90" s="12">
        <f>25000*12</f>
        <v>300000</v>
      </c>
      <c r="D90" s="13">
        <v>7240.26</v>
      </c>
    </row>
    <row r="91" spans="1:7" s="1" customFormat="1" x14ac:dyDescent="0.2">
      <c r="A91" s="1" t="s">
        <v>85</v>
      </c>
      <c r="C91" s="2">
        <f>SUM(C88:C90)</f>
        <v>600000</v>
      </c>
      <c r="D91" s="10">
        <f>SUM(D88:D90)</f>
        <v>15928.571164474479</v>
      </c>
      <c r="E91" s="4"/>
      <c r="F91" s="7"/>
      <c r="G91" s="4"/>
    </row>
    <row r="92" spans="1:7" x14ac:dyDescent="0.2">
      <c r="D92" s="13"/>
    </row>
    <row r="93" spans="1:7" x14ac:dyDescent="0.2">
      <c r="D93"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2023-08-10T05:11:57Z</dcterms:created>
  <dcterms:modified xsi:type="dcterms:W3CDTF">2023-08-11T10:56:43Z</dcterms:modified>
</cp:coreProperties>
</file>